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>
    <definedName name="_xlnm.Print_Area" localSheetId="0">'Лист1'!$A$1:$K$58</definedName>
  </definedNames>
  <calcPr fullCalcOnLoad="1"/>
</workbook>
</file>

<file path=xl/sharedStrings.xml><?xml version="1.0" encoding="utf-8"?>
<sst xmlns="http://schemas.openxmlformats.org/spreadsheetml/2006/main" count="159" uniqueCount="123">
  <si>
    <t>ТИП</t>
  </si>
  <si>
    <t>кВт</t>
  </si>
  <si>
    <t>B3</t>
  </si>
  <si>
    <t>B5/B14</t>
  </si>
  <si>
    <t>B35/B34</t>
  </si>
  <si>
    <t>Цена с НДС</t>
  </si>
  <si>
    <t>исполнение*</t>
  </si>
  <si>
    <t>Электродвигатели Able (Италия)</t>
  </si>
  <si>
    <t>MS561-2</t>
  </si>
  <si>
    <t>MS562-2</t>
  </si>
  <si>
    <t>MS631-2</t>
  </si>
  <si>
    <t>MS632-2</t>
  </si>
  <si>
    <t>MS633-2</t>
  </si>
  <si>
    <t>MS711-2</t>
  </si>
  <si>
    <t>MS712-2</t>
  </si>
  <si>
    <t>MS713-2</t>
  </si>
  <si>
    <t>MS801-2</t>
  </si>
  <si>
    <t>MS802-2</t>
  </si>
  <si>
    <t>MS803-2</t>
  </si>
  <si>
    <t>MS90S-2</t>
  </si>
  <si>
    <t>MS90L-2</t>
  </si>
  <si>
    <t>MS90L1-2</t>
  </si>
  <si>
    <t>MS100L-2</t>
  </si>
  <si>
    <t>MS100L1-2</t>
  </si>
  <si>
    <t>MS112M-2</t>
  </si>
  <si>
    <t>MS112M1-2</t>
  </si>
  <si>
    <t>MS112M2-2</t>
  </si>
  <si>
    <t>MS132S1-2</t>
  </si>
  <si>
    <t>MS132S2-2</t>
  </si>
  <si>
    <t>MS132M-2</t>
  </si>
  <si>
    <t>MS132L-2</t>
  </si>
  <si>
    <t>MS160M1-2</t>
  </si>
  <si>
    <t>MS160M2-2</t>
  </si>
  <si>
    <t>MS160L-2</t>
  </si>
  <si>
    <t xml:space="preserve"> MS  3000 об/мин</t>
  </si>
  <si>
    <t>0.09</t>
  </si>
  <si>
    <t>0.12</t>
  </si>
  <si>
    <t>0.18</t>
  </si>
  <si>
    <t>0.25</t>
  </si>
  <si>
    <t>0.37</t>
  </si>
  <si>
    <t>0.55</t>
  </si>
  <si>
    <t>0.75</t>
  </si>
  <si>
    <t>3.0</t>
  </si>
  <si>
    <t>4.0</t>
  </si>
  <si>
    <t>11.0</t>
  </si>
  <si>
    <t>15.0</t>
  </si>
  <si>
    <t>MS561-4</t>
  </si>
  <si>
    <t>MS562-4</t>
  </si>
  <si>
    <t>MS631-4</t>
  </si>
  <si>
    <t>MS632-4</t>
  </si>
  <si>
    <t>MS633-4</t>
  </si>
  <si>
    <t>MS711-4</t>
  </si>
  <si>
    <t>MS712-4</t>
  </si>
  <si>
    <t>MS713-4</t>
  </si>
  <si>
    <t>MS801-4</t>
  </si>
  <si>
    <t>MS802-4</t>
  </si>
  <si>
    <t>MS803-4</t>
  </si>
  <si>
    <t>MS90S-4</t>
  </si>
  <si>
    <t>MS90L-4</t>
  </si>
  <si>
    <t>MS90L1-4</t>
  </si>
  <si>
    <t>MS100L1-4</t>
  </si>
  <si>
    <t>MS100L2-4</t>
  </si>
  <si>
    <t>MS100L3-4</t>
  </si>
  <si>
    <t>MS112M-4</t>
  </si>
  <si>
    <t>MS112M1-4</t>
  </si>
  <si>
    <t>MS132S-4</t>
  </si>
  <si>
    <t>MS132M-4</t>
  </si>
  <si>
    <t>MS132L-4</t>
  </si>
  <si>
    <t>MS132L2-4</t>
  </si>
  <si>
    <t>MS160M-4</t>
  </si>
  <si>
    <t>MS160L-4</t>
  </si>
  <si>
    <t xml:space="preserve"> MS  1500 об/мин</t>
  </si>
  <si>
    <t>0.06</t>
  </si>
  <si>
    <t>5.5</t>
  </si>
  <si>
    <t>9,5</t>
  </si>
  <si>
    <t xml:space="preserve"> MS  1000 об/мин</t>
  </si>
  <si>
    <t>MS711-6</t>
  </si>
  <si>
    <t>MS712-6</t>
  </si>
  <si>
    <t>MS801-6</t>
  </si>
  <si>
    <t>MS802-6</t>
  </si>
  <si>
    <t>MS90S-6</t>
  </si>
  <si>
    <t>MS90L-6</t>
  </si>
  <si>
    <t>MS100L-6</t>
  </si>
  <si>
    <t>MS112M-6</t>
  </si>
  <si>
    <t>MS132S-6</t>
  </si>
  <si>
    <t>MS132M1-6</t>
  </si>
  <si>
    <t>MS132M2-6</t>
  </si>
  <si>
    <t>MS160M-6</t>
  </si>
  <si>
    <t>MS160L-6</t>
  </si>
  <si>
    <t xml:space="preserve"> MS 750 об/мин</t>
  </si>
  <si>
    <t>MS7118</t>
  </si>
  <si>
    <t>MS7128</t>
  </si>
  <si>
    <t>MS8018</t>
  </si>
  <si>
    <t>MS8028</t>
  </si>
  <si>
    <t>MS90S8</t>
  </si>
  <si>
    <t>MS90L8</t>
  </si>
  <si>
    <t>MS100L1-8</t>
  </si>
  <si>
    <t>MS100L2-8</t>
  </si>
  <si>
    <t>MS112M8</t>
  </si>
  <si>
    <t>MS132S-8</t>
  </si>
  <si>
    <t>MS132M-8</t>
  </si>
  <si>
    <t>MS160M1-8</t>
  </si>
  <si>
    <t>MS160M2-8</t>
  </si>
  <si>
    <t>MS160L-8</t>
  </si>
  <si>
    <t>Однофазн. MY 3000 об/мин</t>
  </si>
  <si>
    <t>MY631-2</t>
  </si>
  <si>
    <t>MY632-2</t>
  </si>
  <si>
    <t>MY711-2</t>
  </si>
  <si>
    <t>MY712-2</t>
  </si>
  <si>
    <t>MY801-2</t>
  </si>
  <si>
    <t>MY802-2</t>
  </si>
  <si>
    <t>MY90S-2</t>
  </si>
  <si>
    <t>MY90L-2</t>
  </si>
  <si>
    <t>MY631-4</t>
  </si>
  <si>
    <t>MY632-4</t>
  </si>
  <si>
    <t>MY711-4</t>
  </si>
  <si>
    <t>MY712-4</t>
  </si>
  <si>
    <t>MY801-4</t>
  </si>
  <si>
    <t>MY802-4</t>
  </si>
  <si>
    <t>MY90S-4</t>
  </si>
  <si>
    <t>MY90L-4</t>
  </si>
  <si>
    <t>Однофазн. MY 1500 об/мин</t>
  </si>
  <si>
    <r>
      <t>Прайс-лист ООО "НТЦ РЕДУКТОР"</t>
    </r>
    <r>
      <rPr>
        <sz val="10"/>
        <rFont val="Arial Cyr"/>
        <family val="0"/>
      </rPr>
      <t xml:space="preserve">
</t>
    </r>
    <r>
      <rPr>
        <sz val="12"/>
        <rFont val="Arial Cyr"/>
        <family val="0"/>
      </rPr>
      <t>Адрес: г.Калуга ул. Светлая, д. 37, Телефоны:(4842) 700-180, (4842) 700-181,                              8-800 555-23-36 (звонок бесплатный).
http://ntcreductor.ru  e-mail: kaluga-reduktor@bk.ru  Режим работы: 8:00-17:00 (без обеда)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</si>
</sst>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2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7" fillId="0" borderId="10" xfId="52" applyNumberFormat="1" applyFont="1" applyBorder="1" applyAlignment="1">
      <alignment horizontal="center" vertical="center"/>
      <protection/>
    </xf>
    <xf numFmtId="0" fontId="1" fillId="0" borderId="11" xfId="52" applyFont="1" applyBorder="1" applyAlignment="1">
      <alignment vertical="center"/>
      <protection/>
    </xf>
    <xf numFmtId="3" fontId="7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 horizontal="center"/>
    </xf>
    <xf numFmtId="0" fontId="3" fillId="0" borderId="10" xfId="52" applyFont="1" applyBorder="1" applyAlignment="1">
      <alignment vertical="center"/>
      <protection/>
    </xf>
    <xf numFmtId="0" fontId="0" fillId="0" borderId="10" xfId="52" applyFont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6"/>
  <sheetViews>
    <sheetView tabSelected="1" zoomScaleSheetLayoutView="100" zoomScalePageLayoutView="0" workbookViewId="0" topLeftCell="A18">
      <selection activeCell="M43" sqref="M43"/>
    </sheetView>
  </sheetViews>
  <sheetFormatPr defaultColWidth="9.00390625" defaultRowHeight="12.75"/>
  <cols>
    <col min="1" max="1" width="1.625" style="0" customWidth="1"/>
    <col min="2" max="2" width="18.875" style="0" customWidth="1"/>
    <col min="3" max="3" width="7.375" style="0" customWidth="1"/>
    <col min="4" max="4" width="7.25390625" style="0" customWidth="1"/>
    <col min="5" max="6" width="7.75390625" style="0" customWidth="1"/>
    <col min="7" max="7" width="16.25390625" style="0" customWidth="1"/>
    <col min="8" max="8" width="9.25390625" style="0" customWidth="1"/>
    <col min="9" max="9" width="7.00390625" style="0" customWidth="1"/>
    <col min="10" max="10" width="8.125" style="0" customWidth="1"/>
    <col min="11" max="11" width="7.75390625" style="0" customWidth="1"/>
  </cols>
  <sheetData>
    <row r="1" ht="0.75" customHeight="1" thickBot="1"/>
    <row r="2" spans="2:11" ht="69.75" customHeight="1" thickBot="1">
      <c r="B2" s="44" t="s">
        <v>122</v>
      </c>
      <c r="C2" s="45"/>
      <c r="D2" s="45"/>
      <c r="E2" s="45"/>
      <c r="F2" s="45"/>
      <c r="G2" s="45"/>
      <c r="H2" s="45"/>
      <c r="I2" s="45"/>
      <c r="J2" s="45"/>
      <c r="K2" s="46"/>
    </row>
    <row r="3" spans="2:11" ht="15.75">
      <c r="B3" s="48" t="s">
        <v>7</v>
      </c>
      <c r="C3" s="49"/>
      <c r="D3" s="49"/>
      <c r="E3" s="49"/>
      <c r="F3" s="49"/>
      <c r="G3" s="49"/>
      <c r="H3" s="49"/>
      <c r="I3" s="49"/>
      <c r="J3" s="49"/>
      <c r="K3" s="50"/>
    </row>
    <row r="4" spans="2:11" ht="12.75">
      <c r="B4" s="7" t="s">
        <v>0</v>
      </c>
      <c r="C4" s="3" t="s">
        <v>1</v>
      </c>
      <c r="D4" s="38" t="s">
        <v>6</v>
      </c>
      <c r="E4" s="38"/>
      <c r="F4" s="38"/>
      <c r="G4" s="3" t="s">
        <v>0</v>
      </c>
      <c r="H4" s="3" t="s">
        <v>1</v>
      </c>
      <c r="I4" s="38" t="s">
        <v>6</v>
      </c>
      <c r="J4" s="38"/>
      <c r="K4" s="47"/>
    </row>
    <row r="5" spans="2:11" ht="12.75">
      <c r="B5" s="39" t="s">
        <v>34</v>
      </c>
      <c r="C5" s="38"/>
      <c r="D5" s="3" t="s">
        <v>2</v>
      </c>
      <c r="E5" s="3" t="s">
        <v>3</v>
      </c>
      <c r="F5" s="3" t="s">
        <v>4</v>
      </c>
      <c r="G5" s="38" t="s">
        <v>75</v>
      </c>
      <c r="H5" s="38"/>
      <c r="I5" s="3" t="s">
        <v>2</v>
      </c>
      <c r="J5" s="3" t="s">
        <v>3</v>
      </c>
      <c r="K5" s="8" t="s">
        <v>4</v>
      </c>
    </row>
    <row r="6" spans="2:11" ht="12.75">
      <c r="B6" s="10" t="s">
        <v>8</v>
      </c>
      <c r="C6" s="24" t="s">
        <v>35</v>
      </c>
      <c r="D6" s="11">
        <f>1700*1.1</f>
        <v>1870.0000000000002</v>
      </c>
      <c r="E6" s="11">
        <f>1790*1.1</f>
        <v>1969.0000000000002</v>
      </c>
      <c r="F6" s="11">
        <f>1820*1.1</f>
        <v>2002.0000000000002</v>
      </c>
      <c r="G6" s="1" t="s">
        <v>76</v>
      </c>
      <c r="H6" s="6">
        <v>0.18</v>
      </c>
      <c r="I6" s="12">
        <f>2140*1.1</f>
        <v>2354</v>
      </c>
      <c r="J6" s="12">
        <f>2250*1.1</f>
        <v>2475</v>
      </c>
      <c r="K6" s="13">
        <f>2290*1.1</f>
        <v>2519</v>
      </c>
    </row>
    <row r="7" spans="2:11" ht="12.75">
      <c r="B7" s="10" t="s">
        <v>9</v>
      </c>
      <c r="C7" s="24" t="s">
        <v>36</v>
      </c>
      <c r="D7" s="11">
        <f>1700*1.1</f>
        <v>1870.0000000000002</v>
      </c>
      <c r="E7" s="14">
        <f>1790*1.1</f>
        <v>1969.0000000000002</v>
      </c>
      <c r="F7" s="11">
        <f>1820*1.1</f>
        <v>2002.0000000000002</v>
      </c>
      <c r="G7" s="1" t="s">
        <v>77</v>
      </c>
      <c r="H7" s="6">
        <v>0.25</v>
      </c>
      <c r="I7" s="12">
        <f>2140*1.1</f>
        <v>2354</v>
      </c>
      <c r="J7" s="12">
        <f>2250*1.1</f>
        <v>2475</v>
      </c>
      <c r="K7" s="13">
        <f>2290*1.1</f>
        <v>2519</v>
      </c>
    </row>
    <row r="8" spans="2:11" ht="12.75">
      <c r="B8" s="10" t="s">
        <v>10</v>
      </c>
      <c r="C8" s="24" t="s">
        <v>37</v>
      </c>
      <c r="D8" s="11">
        <f>2340*1.1</f>
        <v>2574</v>
      </c>
      <c r="E8" s="14">
        <f>2460*1.1</f>
        <v>2706</v>
      </c>
      <c r="F8" s="14">
        <f>2520*1.1</f>
        <v>2772</v>
      </c>
      <c r="G8" s="1" t="s">
        <v>78</v>
      </c>
      <c r="H8" s="6">
        <v>0.37</v>
      </c>
      <c r="I8" s="12">
        <f>2630*1.1</f>
        <v>2893.0000000000005</v>
      </c>
      <c r="J8" s="12">
        <f>2760*1.1</f>
        <v>3036.0000000000005</v>
      </c>
      <c r="K8" s="13">
        <f>2810*1.1</f>
        <v>3091.0000000000005</v>
      </c>
    </row>
    <row r="9" spans="2:11" ht="12.75">
      <c r="B9" s="10" t="s">
        <v>11</v>
      </c>
      <c r="C9" s="24" t="s">
        <v>38</v>
      </c>
      <c r="D9" s="11">
        <f>2340*1.1</f>
        <v>2574</v>
      </c>
      <c r="E9" s="14">
        <f>2460*1.1</f>
        <v>2706</v>
      </c>
      <c r="F9" s="14">
        <f>2520*1.1</f>
        <v>2772</v>
      </c>
      <c r="G9" s="1" t="s">
        <v>79</v>
      </c>
      <c r="H9" s="6">
        <v>0.55</v>
      </c>
      <c r="I9" s="12">
        <f>2630*1.1</f>
        <v>2893.0000000000005</v>
      </c>
      <c r="J9" s="12">
        <f>2760*1.1</f>
        <v>3036.0000000000005</v>
      </c>
      <c r="K9" s="13">
        <f>2810*1.1</f>
        <v>3091.0000000000005</v>
      </c>
    </row>
    <row r="10" spans="2:11" ht="12.75">
      <c r="B10" s="15" t="s">
        <v>12</v>
      </c>
      <c r="C10" s="24">
        <v>0.37</v>
      </c>
      <c r="D10" s="11">
        <f>2340*1.1</f>
        <v>2574</v>
      </c>
      <c r="E10" s="14">
        <f>2460*1.1</f>
        <v>2706</v>
      </c>
      <c r="F10" s="14">
        <f>2520*1.1</f>
        <v>2772</v>
      </c>
      <c r="G10" s="1" t="s">
        <v>80</v>
      </c>
      <c r="H10" s="6" t="s">
        <v>41</v>
      </c>
      <c r="I10" s="12">
        <f>3320*1.1</f>
        <v>3652.0000000000005</v>
      </c>
      <c r="J10" s="12">
        <f>3420*1.1</f>
        <v>3762.0000000000005</v>
      </c>
      <c r="K10" s="13">
        <v>3480</v>
      </c>
    </row>
    <row r="11" spans="2:11" ht="12.75">
      <c r="B11" s="10" t="s">
        <v>13</v>
      </c>
      <c r="C11" s="24" t="s">
        <v>39</v>
      </c>
      <c r="D11" s="11">
        <f>2140*1.1</f>
        <v>2354</v>
      </c>
      <c r="E11" s="14">
        <f>2250*1.1</f>
        <v>2475</v>
      </c>
      <c r="F11" s="14">
        <f>2300*1.1</f>
        <v>2530</v>
      </c>
      <c r="G11" s="1" t="s">
        <v>81</v>
      </c>
      <c r="H11" s="6">
        <v>1.1</v>
      </c>
      <c r="I11" s="12">
        <f>3860*1.1</f>
        <v>4246</v>
      </c>
      <c r="J11" s="12">
        <f>3970*1.1</f>
        <v>4367</v>
      </c>
      <c r="K11" s="13">
        <f>4050*1.1</f>
        <v>4455</v>
      </c>
    </row>
    <row r="12" spans="2:11" ht="12.75">
      <c r="B12" s="10" t="s">
        <v>14</v>
      </c>
      <c r="C12" s="24" t="s">
        <v>40</v>
      </c>
      <c r="D12" s="11">
        <f>2140*1.1</f>
        <v>2354</v>
      </c>
      <c r="E12" s="14">
        <f>2250*1.1</f>
        <v>2475</v>
      </c>
      <c r="F12" s="14">
        <f>2300*1.1</f>
        <v>2530</v>
      </c>
      <c r="G12" s="1" t="s">
        <v>82</v>
      </c>
      <c r="H12" s="6">
        <v>1.5</v>
      </c>
      <c r="I12" s="12">
        <f>5480*1.1</f>
        <v>6028.000000000001</v>
      </c>
      <c r="J12" s="12">
        <f>5640*1.1</f>
        <v>6204.000000000001</v>
      </c>
      <c r="K12" s="13">
        <f>5760*1.1</f>
        <v>6336.000000000001</v>
      </c>
    </row>
    <row r="13" spans="2:11" ht="12.75">
      <c r="B13" s="10" t="s">
        <v>15</v>
      </c>
      <c r="C13" s="24">
        <v>0.75</v>
      </c>
      <c r="D13" s="11">
        <f>2520*1.1</f>
        <v>2772</v>
      </c>
      <c r="E13" s="14">
        <f>2600*1.1</f>
        <v>2860.0000000000005</v>
      </c>
      <c r="F13" s="14">
        <f>2650*1.1</f>
        <v>2915.0000000000005</v>
      </c>
      <c r="G13" s="1" t="s">
        <v>83</v>
      </c>
      <c r="H13" s="6">
        <v>2.2</v>
      </c>
      <c r="I13" s="12">
        <f>6930*1.1</f>
        <v>7623.000000000001</v>
      </c>
      <c r="J13" s="12">
        <f>7140*1.1</f>
        <v>7854.000000000001</v>
      </c>
      <c r="K13" s="13">
        <f>7280*1.1</f>
        <v>8008.000000000001</v>
      </c>
    </row>
    <row r="14" spans="2:11" ht="12.75">
      <c r="B14" s="10" t="s">
        <v>16</v>
      </c>
      <c r="C14" s="24" t="s">
        <v>41</v>
      </c>
      <c r="D14" s="11">
        <f>2680*1.1</f>
        <v>2948.0000000000005</v>
      </c>
      <c r="E14" s="14">
        <f>2760*1.1</f>
        <v>3036.0000000000005</v>
      </c>
      <c r="F14" s="14">
        <f>2810*1.1</f>
        <v>3091.0000000000005</v>
      </c>
      <c r="G14" s="1" t="s">
        <v>84</v>
      </c>
      <c r="H14" s="6" t="s">
        <v>42</v>
      </c>
      <c r="I14" s="12">
        <f>10300*1.1</f>
        <v>11330.000000000002</v>
      </c>
      <c r="J14" s="12">
        <f>10600*1.1</f>
        <v>11660.000000000002</v>
      </c>
      <c r="K14" s="13">
        <f>10800*1.1</f>
        <v>11880.000000000002</v>
      </c>
    </row>
    <row r="15" spans="2:11" ht="12.75">
      <c r="B15" s="10" t="s">
        <v>17</v>
      </c>
      <c r="C15" s="24">
        <v>1.1</v>
      </c>
      <c r="D15" s="11">
        <f>3000*1.1</f>
        <v>3300.0000000000005</v>
      </c>
      <c r="E15" s="14">
        <f>3080*1.1</f>
        <v>3388.0000000000005</v>
      </c>
      <c r="F15" s="14">
        <f>3150*1.1</f>
        <v>3465.0000000000005</v>
      </c>
      <c r="G15" s="1" t="s">
        <v>85</v>
      </c>
      <c r="H15" s="6" t="s">
        <v>43</v>
      </c>
      <c r="I15" s="12">
        <f>11400*1.1</f>
        <v>12540.000000000002</v>
      </c>
      <c r="J15" s="12">
        <f>11800*1.1</f>
        <v>12980.000000000002</v>
      </c>
      <c r="K15" s="13">
        <f>12000*1.1</f>
        <v>13200.000000000002</v>
      </c>
    </row>
    <row r="16" spans="2:11" ht="12.75">
      <c r="B16" s="10" t="s">
        <v>18</v>
      </c>
      <c r="C16" s="24">
        <v>1.5</v>
      </c>
      <c r="D16" s="11">
        <f>3440*1.1</f>
        <v>3784.0000000000005</v>
      </c>
      <c r="E16" s="14">
        <f>3540*1.1</f>
        <v>3894.0000000000005</v>
      </c>
      <c r="F16" s="14">
        <f>3610*1.1</f>
        <v>3971.0000000000005</v>
      </c>
      <c r="G16" s="1" t="s">
        <v>86</v>
      </c>
      <c r="H16" s="6">
        <v>5.5</v>
      </c>
      <c r="I16" s="12">
        <f>13500*1.1</f>
        <v>14850.000000000002</v>
      </c>
      <c r="J16" s="12">
        <f>13900*1.1</f>
        <v>15290.000000000002</v>
      </c>
      <c r="K16" s="13">
        <f>14200*1.1</f>
        <v>15620.000000000002</v>
      </c>
    </row>
    <row r="17" spans="2:11" ht="12.75">
      <c r="B17" s="10" t="s">
        <v>19</v>
      </c>
      <c r="C17" s="24">
        <v>1.5</v>
      </c>
      <c r="D17" s="11">
        <f>3600*1.1</f>
        <v>3960.0000000000005</v>
      </c>
      <c r="E17" s="14">
        <f>3710*1.1</f>
        <v>4081.0000000000005</v>
      </c>
      <c r="F17" s="14">
        <f>3780*1.1</f>
        <v>4158</v>
      </c>
      <c r="G17" s="1" t="s">
        <v>87</v>
      </c>
      <c r="H17" s="6">
        <v>7.5</v>
      </c>
      <c r="I17" s="12">
        <f>17900*1.1</f>
        <v>19690</v>
      </c>
      <c r="J17" s="12">
        <f>18400*1.1</f>
        <v>20240</v>
      </c>
      <c r="K17" s="13">
        <f>18700*1.1</f>
        <v>20570</v>
      </c>
    </row>
    <row r="18" spans="2:11" ht="12.75">
      <c r="B18" s="10" t="s">
        <v>20</v>
      </c>
      <c r="C18" s="24">
        <v>2.2</v>
      </c>
      <c r="D18" s="11">
        <f>4100*1.1</f>
        <v>4510</v>
      </c>
      <c r="E18" s="14">
        <f>4220*1.1</f>
        <v>4642</v>
      </c>
      <c r="F18" s="14">
        <f>4300*1.1</f>
        <v>4730</v>
      </c>
      <c r="G18" s="1" t="s">
        <v>88</v>
      </c>
      <c r="H18" s="6" t="s">
        <v>44</v>
      </c>
      <c r="I18" s="12">
        <f>22000*1.1</f>
        <v>24200.000000000004</v>
      </c>
      <c r="J18" s="12">
        <f>22700*1.1</f>
        <v>24970.000000000004</v>
      </c>
      <c r="K18" s="13">
        <f>23000*1.1</f>
        <v>25300.000000000004</v>
      </c>
    </row>
    <row r="19" spans="2:11" ht="12.75">
      <c r="B19" s="10" t="s">
        <v>21</v>
      </c>
      <c r="C19" s="24">
        <v>3</v>
      </c>
      <c r="D19" s="11">
        <f>4820*1.1</f>
        <v>5302</v>
      </c>
      <c r="E19" s="14">
        <f>4960*1.1</f>
        <v>5456</v>
      </c>
      <c r="F19" s="14">
        <f>5060*1.1</f>
        <v>5566</v>
      </c>
      <c r="G19" s="38" t="s">
        <v>89</v>
      </c>
      <c r="H19" s="38"/>
      <c r="I19" s="3" t="s">
        <v>2</v>
      </c>
      <c r="J19" s="3" t="s">
        <v>3</v>
      </c>
      <c r="K19" s="8" t="s">
        <v>4</v>
      </c>
    </row>
    <row r="20" spans="2:11" ht="12.75">
      <c r="B20" s="10" t="s">
        <v>22</v>
      </c>
      <c r="C20" s="24" t="s">
        <v>42</v>
      </c>
      <c r="D20" s="11">
        <f>5920*1.1</f>
        <v>6512.000000000001</v>
      </c>
      <c r="E20" s="14">
        <f>6110*1.1</f>
        <v>6721.000000000001</v>
      </c>
      <c r="F20" s="14">
        <f>6220*1.1</f>
        <v>6842.000000000001</v>
      </c>
      <c r="G20" s="1" t="s">
        <v>90</v>
      </c>
      <c r="H20" s="6">
        <v>0.09</v>
      </c>
      <c r="I20" s="12">
        <f>2030*1.1</f>
        <v>2233</v>
      </c>
      <c r="J20" s="12">
        <f>2080*1.1</f>
        <v>2288</v>
      </c>
      <c r="K20" s="13">
        <f>2130*1.1</f>
        <v>2343</v>
      </c>
    </row>
    <row r="21" spans="2:11" ht="12.75">
      <c r="B21" s="10" t="s">
        <v>23</v>
      </c>
      <c r="C21" s="24">
        <v>4</v>
      </c>
      <c r="D21" s="11">
        <f>6840*1.1</f>
        <v>7524.000000000001</v>
      </c>
      <c r="E21" s="14">
        <f>7040*1.1</f>
        <v>7744.000000000001</v>
      </c>
      <c r="F21" s="14">
        <f>7180*1.1</f>
        <v>7898.000000000001</v>
      </c>
      <c r="G21" s="1" t="s">
        <v>91</v>
      </c>
      <c r="H21" s="6">
        <v>0.12</v>
      </c>
      <c r="I21" s="12">
        <f>2160*1.1</f>
        <v>2376</v>
      </c>
      <c r="J21" s="12">
        <f>2230*1.1</f>
        <v>2453</v>
      </c>
      <c r="K21" s="13">
        <f>2270*1.1</f>
        <v>2497</v>
      </c>
    </row>
    <row r="22" spans="2:11" ht="12.75">
      <c r="B22" s="10" t="s">
        <v>24</v>
      </c>
      <c r="C22" s="24" t="s">
        <v>43</v>
      </c>
      <c r="D22" s="16">
        <f>7220*1.1</f>
        <v>7942.000000000001</v>
      </c>
      <c r="E22" s="14">
        <f>7440*1.1</f>
        <v>8184.000000000001</v>
      </c>
      <c r="F22" s="14">
        <f>7580*1.1</f>
        <v>8338</v>
      </c>
      <c r="G22" s="1" t="s">
        <v>92</v>
      </c>
      <c r="H22" s="6">
        <v>0.18</v>
      </c>
      <c r="I22" s="12">
        <f>2580*1.1</f>
        <v>2838.0000000000005</v>
      </c>
      <c r="J22" s="12">
        <f>2660*1.1</f>
        <v>2926.0000000000005</v>
      </c>
      <c r="K22" s="13">
        <f>2710*1.1</f>
        <v>2981.0000000000005</v>
      </c>
    </row>
    <row r="23" spans="2:11" ht="12.75">
      <c r="B23" s="10" t="s">
        <v>25</v>
      </c>
      <c r="C23" s="24">
        <v>5.5</v>
      </c>
      <c r="D23" s="16">
        <f>8520*1.1</f>
        <v>9372</v>
      </c>
      <c r="E23" s="14">
        <f>8770*1.1</f>
        <v>9647</v>
      </c>
      <c r="F23" s="14">
        <f>8940*1.1</f>
        <v>9834</v>
      </c>
      <c r="G23" s="1" t="s">
        <v>93</v>
      </c>
      <c r="H23" s="6">
        <v>0.25</v>
      </c>
      <c r="I23" s="12">
        <f>2930*1.1</f>
        <v>3223.0000000000005</v>
      </c>
      <c r="J23" s="12">
        <f>3010*1.1</f>
        <v>3311.0000000000005</v>
      </c>
      <c r="K23" s="13">
        <f>3070*1.1</f>
        <v>3377.0000000000005</v>
      </c>
    </row>
    <row r="24" spans="2:11" ht="12.75">
      <c r="B24" s="10" t="s">
        <v>26</v>
      </c>
      <c r="C24" s="24">
        <v>7.5</v>
      </c>
      <c r="D24" s="16">
        <f>9560*1.1</f>
        <v>10516</v>
      </c>
      <c r="E24" s="14">
        <f>9890*1.1</f>
        <v>10879</v>
      </c>
      <c r="F24" s="14">
        <f>10100*1.1</f>
        <v>11110</v>
      </c>
      <c r="G24" s="1" t="s">
        <v>94</v>
      </c>
      <c r="H24" s="6">
        <v>0.37</v>
      </c>
      <c r="I24" s="12">
        <f>3180*1.1</f>
        <v>3498.0000000000005</v>
      </c>
      <c r="J24" s="12">
        <f>3270*1.1</f>
        <v>3597.0000000000005</v>
      </c>
      <c r="K24" s="13">
        <f>3340*1.1</f>
        <v>3674.0000000000005</v>
      </c>
    </row>
    <row r="25" spans="2:11" ht="12.75">
      <c r="B25" s="10" t="s">
        <v>27</v>
      </c>
      <c r="C25" s="24">
        <v>5.5</v>
      </c>
      <c r="D25" s="16">
        <f>10500*1.1</f>
        <v>11550.000000000002</v>
      </c>
      <c r="E25" s="14">
        <f>10800*1.1</f>
        <v>11880.000000000002</v>
      </c>
      <c r="F25" s="14">
        <f>10900*1.1</f>
        <v>11990.000000000002</v>
      </c>
      <c r="G25" s="1" t="s">
        <v>95</v>
      </c>
      <c r="H25" s="6">
        <v>0.55</v>
      </c>
      <c r="I25" s="12">
        <f>3650*1.1</f>
        <v>4015.0000000000005</v>
      </c>
      <c r="J25" s="12">
        <f>3750*1.1</f>
        <v>4125</v>
      </c>
      <c r="K25" s="13">
        <f>3830*1.1</f>
        <v>4213</v>
      </c>
    </row>
    <row r="26" spans="2:11" ht="12.75">
      <c r="B26" s="10" t="s">
        <v>28</v>
      </c>
      <c r="C26" s="24">
        <v>7.5</v>
      </c>
      <c r="D26" s="16">
        <f>11600*1.1</f>
        <v>12760.000000000002</v>
      </c>
      <c r="E26" s="14">
        <f>12000*1.1</f>
        <v>13200.000000000002</v>
      </c>
      <c r="F26" s="14">
        <f>12200*1.1</f>
        <v>13420.000000000002</v>
      </c>
      <c r="G26" s="1" t="s">
        <v>96</v>
      </c>
      <c r="H26" s="6">
        <v>0.75</v>
      </c>
      <c r="I26" s="12">
        <f>5190*1.1</f>
        <v>5709.000000000001</v>
      </c>
      <c r="J26" s="12">
        <f>5350*1.1</f>
        <v>5885.000000000001</v>
      </c>
      <c r="K26" s="13">
        <f>5450*1.1</f>
        <v>5995.000000000001</v>
      </c>
    </row>
    <row r="27" spans="2:11" ht="12.75">
      <c r="B27" s="10" t="s">
        <v>29</v>
      </c>
      <c r="C27" s="24">
        <v>9.5</v>
      </c>
      <c r="D27" s="16">
        <f>13800*1.1</f>
        <v>15180.000000000002</v>
      </c>
      <c r="E27" s="14">
        <f>14200*1.1</f>
        <v>15620.000000000002</v>
      </c>
      <c r="F27" s="14">
        <f>14500*1.1</f>
        <v>15950.000000000002</v>
      </c>
      <c r="G27" s="1" t="s">
        <v>97</v>
      </c>
      <c r="H27" s="6">
        <v>1.1</v>
      </c>
      <c r="I27" s="12">
        <f>5740*1.1</f>
        <v>6314.000000000001</v>
      </c>
      <c r="J27" s="12">
        <f>5910*1.1</f>
        <v>6501.000000000001</v>
      </c>
      <c r="K27" s="13">
        <f>6030*1.1</f>
        <v>6633.000000000001</v>
      </c>
    </row>
    <row r="28" spans="2:11" ht="12.75">
      <c r="B28" s="10" t="s">
        <v>30</v>
      </c>
      <c r="C28" s="24" t="s">
        <v>44</v>
      </c>
      <c r="D28" s="16">
        <f>15400*1.1</f>
        <v>16940</v>
      </c>
      <c r="E28" s="14">
        <f>15800*1.1</f>
        <v>17380</v>
      </c>
      <c r="F28" s="14">
        <f>16100*1.1</f>
        <v>17710</v>
      </c>
      <c r="G28" s="1" t="s">
        <v>98</v>
      </c>
      <c r="H28" s="6">
        <v>1.5</v>
      </c>
      <c r="I28" s="12">
        <f>6730*1.1</f>
        <v>7403.000000000001</v>
      </c>
      <c r="J28" s="12">
        <f>6930*1.1</f>
        <v>7623.000000000001</v>
      </c>
      <c r="K28" s="13">
        <f>7070*1.1</f>
        <v>7777.000000000001</v>
      </c>
    </row>
    <row r="29" spans="2:11" ht="12.75">
      <c r="B29" s="10" t="s">
        <v>31</v>
      </c>
      <c r="C29" s="24" t="s">
        <v>44</v>
      </c>
      <c r="D29" s="17">
        <f>18300*1.1</f>
        <v>20130</v>
      </c>
      <c r="E29" s="14">
        <f>18900*1.1</f>
        <v>20790</v>
      </c>
      <c r="F29" s="14">
        <f>19300*1.1</f>
        <v>21230</v>
      </c>
      <c r="G29" s="1" t="s">
        <v>99</v>
      </c>
      <c r="H29" s="6">
        <v>2.2</v>
      </c>
      <c r="I29" s="12">
        <f>9330*1.1</f>
        <v>10263</v>
      </c>
      <c r="J29" s="12">
        <f>9600*1.1</f>
        <v>10560</v>
      </c>
      <c r="K29" s="13">
        <f>9790*1.1</f>
        <v>10769</v>
      </c>
    </row>
    <row r="30" spans="2:11" ht="12.75">
      <c r="B30" s="10" t="s">
        <v>32</v>
      </c>
      <c r="C30" s="24" t="s">
        <v>45</v>
      </c>
      <c r="D30" s="17">
        <f>19900*1.1</f>
        <v>21890</v>
      </c>
      <c r="E30" s="14">
        <f>20400*1.1</f>
        <v>22440</v>
      </c>
      <c r="F30" s="14">
        <f>20800*1.1</f>
        <v>22880.000000000004</v>
      </c>
      <c r="G30" s="1" t="s">
        <v>100</v>
      </c>
      <c r="H30" s="6" t="s">
        <v>42</v>
      </c>
      <c r="I30" s="12">
        <f>10800*1.1</f>
        <v>11880.000000000002</v>
      </c>
      <c r="J30" s="12">
        <f>11000*1.1</f>
        <v>12100.000000000002</v>
      </c>
      <c r="K30" s="13">
        <f>11300*1.1</f>
        <v>12430.000000000002</v>
      </c>
    </row>
    <row r="31" spans="2:11" ht="12.75">
      <c r="B31" s="10" t="s">
        <v>33</v>
      </c>
      <c r="C31" s="24">
        <v>18.5</v>
      </c>
      <c r="D31" s="17">
        <f>22100*1.1</f>
        <v>24310.000000000004</v>
      </c>
      <c r="E31" s="14">
        <f>22800*1.1</f>
        <v>25080.000000000004</v>
      </c>
      <c r="F31" s="14">
        <f>23200*1.1</f>
        <v>25520.000000000004</v>
      </c>
      <c r="G31" s="1" t="s">
        <v>101</v>
      </c>
      <c r="H31" s="6" t="s">
        <v>43</v>
      </c>
      <c r="I31" s="12">
        <f>15300*1.1</f>
        <v>16830</v>
      </c>
      <c r="J31" s="12">
        <f>15700*1.1</f>
        <v>17270</v>
      </c>
      <c r="K31" s="13">
        <f>16000*1.1</f>
        <v>17600</v>
      </c>
    </row>
    <row r="32" spans="2:11" ht="12.75">
      <c r="B32" s="40" t="s">
        <v>71</v>
      </c>
      <c r="C32" s="41"/>
      <c r="D32" s="2" t="s">
        <v>2</v>
      </c>
      <c r="E32" s="2" t="s">
        <v>3</v>
      </c>
      <c r="F32" s="2" t="s">
        <v>4</v>
      </c>
      <c r="G32" s="1" t="s">
        <v>102</v>
      </c>
      <c r="H32" s="6">
        <v>5.5</v>
      </c>
      <c r="I32" s="12">
        <f>17400*1.1</f>
        <v>19140</v>
      </c>
      <c r="J32" s="12">
        <f>17900*1.1</f>
        <v>19690</v>
      </c>
      <c r="K32" s="13">
        <f>18200*1.1</f>
        <v>20020</v>
      </c>
    </row>
    <row r="33" spans="2:11" ht="12.75">
      <c r="B33" s="4" t="s">
        <v>46</v>
      </c>
      <c r="C33" s="6" t="s">
        <v>72</v>
      </c>
      <c r="D33" s="12">
        <f>1610*1.1</f>
        <v>1771.0000000000002</v>
      </c>
      <c r="E33" s="18">
        <f>1690*1.1</f>
        <v>1859.0000000000002</v>
      </c>
      <c r="F33" s="18">
        <f>1730*1.1</f>
        <v>1903.0000000000002</v>
      </c>
      <c r="G33" s="1" t="s">
        <v>103</v>
      </c>
      <c r="H33" s="6">
        <v>7.5</v>
      </c>
      <c r="I33" s="12">
        <f>20900*1.1</f>
        <v>22990.000000000004</v>
      </c>
      <c r="J33" s="12">
        <f>21600*1.1</f>
        <v>23760.000000000004</v>
      </c>
      <c r="K33" s="13">
        <f>22000*1.1</f>
        <v>24200.000000000004</v>
      </c>
    </row>
    <row r="34" spans="2:11" ht="12.75">
      <c r="B34" s="4" t="s">
        <v>47</v>
      </c>
      <c r="C34" s="6" t="s">
        <v>35</v>
      </c>
      <c r="D34" s="12">
        <f>1610*1.1</f>
        <v>1771.0000000000002</v>
      </c>
      <c r="E34" s="18">
        <f>1690*1.1</f>
        <v>1859.0000000000002</v>
      </c>
      <c r="F34" s="18">
        <f>1730*1.1</f>
        <v>1903.0000000000002</v>
      </c>
      <c r="G34" s="38" t="s">
        <v>104</v>
      </c>
      <c r="H34" s="38"/>
      <c r="I34" s="3" t="s">
        <v>2</v>
      </c>
      <c r="J34" s="3" t="s">
        <v>3</v>
      </c>
      <c r="K34" s="34"/>
    </row>
    <row r="35" spans="2:11" ht="12.75">
      <c r="B35" s="4" t="s">
        <v>48</v>
      </c>
      <c r="C35" s="6" t="s">
        <v>36</v>
      </c>
      <c r="D35" s="12">
        <f>2480*1.1</f>
        <v>2728</v>
      </c>
      <c r="E35" s="18">
        <f>2600*1.1</f>
        <v>2860.0000000000005</v>
      </c>
      <c r="F35" s="18">
        <f>2660*1.1</f>
        <v>2926.0000000000005</v>
      </c>
      <c r="G35" s="19" t="s">
        <v>105</v>
      </c>
      <c r="H35" s="26">
        <v>0.18</v>
      </c>
      <c r="I35" s="20">
        <f>3280*1.1</f>
        <v>3608.0000000000005</v>
      </c>
      <c r="J35" s="20">
        <f>3450*1.1</f>
        <v>3795.0000000000005</v>
      </c>
      <c r="K35" s="35"/>
    </row>
    <row r="36" spans="2:11" ht="12.75">
      <c r="B36" s="4" t="s">
        <v>49</v>
      </c>
      <c r="C36" s="6" t="s">
        <v>37</v>
      </c>
      <c r="D36" s="12">
        <f>2480*1.1</f>
        <v>2728</v>
      </c>
      <c r="E36" s="18">
        <f>2600*1.1</f>
        <v>2860.0000000000005</v>
      </c>
      <c r="F36" s="18">
        <f>2660*1.1</f>
        <v>2926.0000000000005</v>
      </c>
      <c r="G36" s="19" t="s">
        <v>106</v>
      </c>
      <c r="H36" s="26">
        <v>0.25</v>
      </c>
      <c r="I36" s="20">
        <f>3280*1.1</f>
        <v>3608.0000000000005</v>
      </c>
      <c r="J36" s="20">
        <f>3450*1.1</f>
        <v>3795.0000000000005</v>
      </c>
      <c r="K36" s="35"/>
    </row>
    <row r="37" spans="2:11" ht="12.75">
      <c r="B37" s="4" t="s">
        <v>50</v>
      </c>
      <c r="C37" s="6">
        <v>0.25</v>
      </c>
      <c r="D37" s="12">
        <f>2480*1.1</f>
        <v>2728</v>
      </c>
      <c r="E37" s="18">
        <f>2600*1.1</f>
        <v>2860.0000000000005</v>
      </c>
      <c r="F37" s="18">
        <f>2660*1.1</f>
        <v>2926.0000000000005</v>
      </c>
      <c r="G37" s="19" t="s">
        <v>107</v>
      </c>
      <c r="H37" s="26">
        <v>0.37</v>
      </c>
      <c r="I37" s="20">
        <f>3000*1.1</f>
        <v>3300.0000000000005</v>
      </c>
      <c r="J37" s="20">
        <f>3150*1.1</f>
        <v>3465.0000000000005</v>
      </c>
      <c r="K37" s="35"/>
    </row>
    <row r="38" spans="2:11" ht="12.75">
      <c r="B38" s="4" t="s">
        <v>51</v>
      </c>
      <c r="C38" s="6" t="s">
        <v>38</v>
      </c>
      <c r="D38" s="12">
        <f>2030*1.1</f>
        <v>2233</v>
      </c>
      <c r="E38" s="18">
        <f>2130*1.1</f>
        <v>2343</v>
      </c>
      <c r="F38" s="18">
        <f>2190*1.1</f>
        <v>2409</v>
      </c>
      <c r="G38" s="19" t="s">
        <v>108</v>
      </c>
      <c r="H38" s="26">
        <v>0.55</v>
      </c>
      <c r="I38" s="20">
        <f>3000*1.1</f>
        <v>3300.0000000000005</v>
      </c>
      <c r="J38" s="20">
        <f>3150*1.1</f>
        <v>3465.0000000000005</v>
      </c>
      <c r="K38" s="35"/>
    </row>
    <row r="39" spans="2:11" ht="12.75">
      <c r="B39" s="4" t="s">
        <v>52</v>
      </c>
      <c r="C39" s="6" t="s">
        <v>39</v>
      </c>
      <c r="D39" s="12">
        <f>2030*1.1</f>
        <v>2233</v>
      </c>
      <c r="E39" s="18">
        <f>2130*1.1</f>
        <v>2343</v>
      </c>
      <c r="F39" s="18">
        <f>2190*1.1</f>
        <v>2409</v>
      </c>
      <c r="G39" s="19" t="s">
        <v>109</v>
      </c>
      <c r="H39" s="26">
        <v>0.75</v>
      </c>
      <c r="I39" s="20">
        <f>3690*1.1</f>
        <v>4059.0000000000005</v>
      </c>
      <c r="J39" s="20">
        <f>3870*1.1</f>
        <v>4257</v>
      </c>
      <c r="K39" s="35"/>
    </row>
    <row r="40" spans="2:11" ht="12.75">
      <c r="B40" s="4" t="s">
        <v>53</v>
      </c>
      <c r="C40" s="6">
        <v>0.55</v>
      </c>
      <c r="D40" s="12">
        <f>2350*1.1</f>
        <v>2585</v>
      </c>
      <c r="E40" s="18">
        <f>2470*1.1</f>
        <v>2717</v>
      </c>
      <c r="F40" s="18">
        <f>2510*1.1</f>
        <v>2761</v>
      </c>
      <c r="G40" s="19" t="s">
        <v>110</v>
      </c>
      <c r="H40" s="26">
        <v>1.1</v>
      </c>
      <c r="I40" s="20">
        <f>3690*1.1</f>
        <v>4059.0000000000005</v>
      </c>
      <c r="J40" s="20">
        <f>3870*1.1</f>
        <v>4257</v>
      </c>
      <c r="K40" s="35"/>
    </row>
    <row r="41" spans="2:11" ht="12.75">
      <c r="B41" s="4" t="s">
        <v>54</v>
      </c>
      <c r="C41" s="6" t="s">
        <v>40</v>
      </c>
      <c r="D41" s="12">
        <f>2500*1.1</f>
        <v>2750</v>
      </c>
      <c r="E41" s="18">
        <f>2570*1.1</f>
        <v>2827.0000000000005</v>
      </c>
      <c r="F41" s="18">
        <f>2620*1.1</f>
        <v>2882.0000000000005</v>
      </c>
      <c r="G41" s="19" t="s">
        <v>111</v>
      </c>
      <c r="H41" s="26">
        <v>1.5</v>
      </c>
      <c r="I41" s="20">
        <f>4630*1.1</f>
        <v>5093</v>
      </c>
      <c r="J41" s="20">
        <f>4860*1.1</f>
        <v>5346</v>
      </c>
      <c r="K41" s="35"/>
    </row>
    <row r="42" spans="2:11" ht="12.75">
      <c r="B42" s="4" t="s">
        <v>55</v>
      </c>
      <c r="C42" s="6" t="s">
        <v>41</v>
      </c>
      <c r="D42" s="12">
        <f>2740*1.1</f>
        <v>3014.0000000000005</v>
      </c>
      <c r="E42" s="18">
        <f>2820*1.1</f>
        <v>3102.0000000000005</v>
      </c>
      <c r="F42" s="18">
        <f>2870*1.1</f>
        <v>3157.0000000000005</v>
      </c>
      <c r="G42" s="19" t="s">
        <v>112</v>
      </c>
      <c r="H42" s="26">
        <v>2.2</v>
      </c>
      <c r="I42" s="20">
        <f>4930*1.1</f>
        <v>5423</v>
      </c>
      <c r="J42" s="20">
        <f>5170*1.1</f>
        <v>5687.000000000001</v>
      </c>
      <c r="K42" s="35"/>
    </row>
    <row r="43" spans="2:11" ht="12.75" customHeight="1">
      <c r="B43" s="4" t="s">
        <v>56</v>
      </c>
      <c r="C43" s="6">
        <v>1.1</v>
      </c>
      <c r="D43" s="12">
        <f>3430*1.1</f>
        <v>3773.0000000000005</v>
      </c>
      <c r="E43" s="18">
        <f>3530*1.1</f>
        <v>3883.0000000000005</v>
      </c>
      <c r="F43" s="18">
        <f>3600*1.1</f>
        <v>3960.0000000000005</v>
      </c>
      <c r="G43" s="38" t="s">
        <v>121</v>
      </c>
      <c r="H43" s="38"/>
      <c r="I43" s="3" t="s">
        <v>2</v>
      </c>
      <c r="J43" s="3" t="s">
        <v>3</v>
      </c>
      <c r="K43" s="34"/>
    </row>
    <row r="44" spans="2:11" ht="12.75">
      <c r="B44" s="4" t="s">
        <v>57</v>
      </c>
      <c r="C44" s="6">
        <v>1.1</v>
      </c>
      <c r="D44" s="12">
        <f>3520*1.1</f>
        <v>3872.0000000000005</v>
      </c>
      <c r="E44" s="18">
        <f>3630*1.1</f>
        <v>3993.0000000000005</v>
      </c>
      <c r="F44" s="18">
        <f>3700*1.1</f>
        <v>4070.0000000000005</v>
      </c>
      <c r="G44" s="19" t="s">
        <v>113</v>
      </c>
      <c r="H44" s="26">
        <v>0.12</v>
      </c>
      <c r="I44" s="20">
        <f>3470*1.1</f>
        <v>3817.0000000000005</v>
      </c>
      <c r="J44" s="20">
        <f>3640*1.1</f>
        <v>4004.0000000000005</v>
      </c>
      <c r="K44" s="35"/>
    </row>
    <row r="45" spans="2:11" ht="12.75">
      <c r="B45" s="4" t="s">
        <v>58</v>
      </c>
      <c r="C45" s="6">
        <v>1.5</v>
      </c>
      <c r="D45" s="12">
        <f>4050*1.1</f>
        <v>4455</v>
      </c>
      <c r="E45" s="18">
        <f>4180*1.1</f>
        <v>4598</v>
      </c>
      <c r="F45" s="18">
        <f>4250*1.1</f>
        <v>4675</v>
      </c>
      <c r="G45" s="19" t="s">
        <v>114</v>
      </c>
      <c r="H45" s="26">
        <v>0.18</v>
      </c>
      <c r="I45" s="20">
        <f>3470*1.1</f>
        <v>3817.0000000000005</v>
      </c>
      <c r="J45" s="20">
        <f>3640*1.1</f>
        <v>4004.0000000000005</v>
      </c>
      <c r="K45" s="35"/>
    </row>
    <row r="46" spans="2:11" ht="12.75">
      <c r="B46" s="4" t="s">
        <v>59</v>
      </c>
      <c r="C46" s="6">
        <v>2.2</v>
      </c>
      <c r="D46" s="12">
        <f>4940*1.1</f>
        <v>5434</v>
      </c>
      <c r="E46" s="18">
        <f>5090*1.1</f>
        <v>5599</v>
      </c>
      <c r="F46" s="18">
        <f>5190*1.1</f>
        <v>5709.000000000001</v>
      </c>
      <c r="G46" s="19" t="s">
        <v>115</v>
      </c>
      <c r="H46" s="26">
        <v>0.25</v>
      </c>
      <c r="I46" s="20">
        <f>2830*1.1</f>
        <v>3113.0000000000005</v>
      </c>
      <c r="J46" s="20">
        <f>2980*1.1</f>
        <v>3278.0000000000005</v>
      </c>
      <c r="K46" s="35"/>
    </row>
    <row r="47" spans="2:11" ht="12.75">
      <c r="B47" s="4" t="s">
        <v>60</v>
      </c>
      <c r="C47" s="6">
        <v>2.2</v>
      </c>
      <c r="D47" s="12">
        <f>5680*1.1</f>
        <v>6248.000000000001</v>
      </c>
      <c r="E47" s="18">
        <f>5860*1.1</f>
        <v>6446.000000000001</v>
      </c>
      <c r="F47" s="18">
        <f>5970*1.1</f>
        <v>6567.000000000001</v>
      </c>
      <c r="G47" s="19" t="s">
        <v>116</v>
      </c>
      <c r="H47" s="26">
        <v>0.37</v>
      </c>
      <c r="I47" s="20">
        <f>2830*1.1</f>
        <v>3113.0000000000005</v>
      </c>
      <c r="J47" s="20">
        <f>2980*1.1</f>
        <v>3278.0000000000005</v>
      </c>
      <c r="K47" s="35"/>
    </row>
    <row r="48" spans="2:11" ht="12.75">
      <c r="B48" s="4" t="s">
        <v>61</v>
      </c>
      <c r="C48" s="6" t="s">
        <v>42</v>
      </c>
      <c r="D48" s="12">
        <f>6530*1.1</f>
        <v>7183.000000000001</v>
      </c>
      <c r="E48" s="18">
        <f>6720*1.1</f>
        <v>7392.000000000001</v>
      </c>
      <c r="F48" s="18">
        <f>6850*1.1</f>
        <v>7535.000000000001</v>
      </c>
      <c r="G48" s="19" t="s">
        <v>117</v>
      </c>
      <c r="H48" s="26">
        <v>0.55</v>
      </c>
      <c r="I48" s="20">
        <f>3470*1.1</f>
        <v>3817.0000000000005</v>
      </c>
      <c r="J48" s="20">
        <f>3640*1.1</f>
        <v>4004.0000000000005</v>
      </c>
      <c r="K48" s="35"/>
    </row>
    <row r="49" spans="2:11" ht="12.75">
      <c r="B49" s="4" t="s">
        <v>62</v>
      </c>
      <c r="C49" s="6" t="s">
        <v>43</v>
      </c>
      <c r="D49" s="12">
        <f>7560*1.1</f>
        <v>8316</v>
      </c>
      <c r="E49" s="18">
        <f>7790*1.1</f>
        <v>8569</v>
      </c>
      <c r="F49" s="18">
        <f>7930*1.1</f>
        <v>8723</v>
      </c>
      <c r="G49" s="19" t="s">
        <v>118</v>
      </c>
      <c r="H49" s="26">
        <v>0.75</v>
      </c>
      <c r="I49" s="20">
        <f>3470*1.1</f>
        <v>3817.0000000000005</v>
      </c>
      <c r="J49" s="20">
        <f>3640*1.1</f>
        <v>4004.0000000000005</v>
      </c>
      <c r="K49" s="35"/>
    </row>
    <row r="50" spans="2:11" ht="12.75">
      <c r="B50" s="4" t="s">
        <v>63</v>
      </c>
      <c r="C50" s="6" t="s">
        <v>43</v>
      </c>
      <c r="D50" s="21">
        <f>8240*1.1</f>
        <v>9064</v>
      </c>
      <c r="E50" s="18">
        <f>8490*1.1</f>
        <v>9339</v>
      </c>
      <c r="F50" s="18">
        <f>8650*1.1</f>
        <v>9515</v>
      </c>
      <c r="G50" s="19" t="s">
        <v>119</v>
      </c>
      <c r="H50" s="26">
        <v>1.1</v>
      </c>
      <c r="I50" s="20">
        <f>4630*1.1</f>
        <v>5093</v>
      </c>
      <c r="J50" s="20">
        <f>4860*1.1</f>
        <v>5346</v>
      </c>
      <c r="K50" s="35"/>
    </row>
    <row r="51" spans="2:11" ht="12.75">
      <c r="B51" s="4" t="s">
        <v>64</v>
      </c>
      <c r="C51" s="6">
        <v>5.5</v>
      </c>
      <c r="D51" s="21">
        <f>9440*1.1</f>
        <v>10384</v>
      </c>
      <c r="E51" s="18">
        <f>9700*1.1</f>
        <v>10670</v>
      </c>
      <c r="F51" s="18">
        <f>9890*1.1</f>
        <v>10879</v>
      </c>
      <c r="G51" s="19" t="s">
        <v>120</v>
      </c>
      <c r="H51" s="26">
        <v>1.5</v>
      </c>
      <c r="I51" s="20">
        <f>4930*1.1</f>
        <v>5423</v>
      </c>
      <c r="J51" s="20">
        <f>5170*1.1</f>
        <v>5687.000000000001</v>
      </c>
      <c r="K51" s="35"/>
    </row>
    <row r="52" spans="2:11" ht="12.75">
      <c r="B52" s="4" t="s">
        <v>65</v>
      </c>
      <c r="C52" s="6" t="s">
        <v>73</v>
      </c>
      <c r="D52" s="21">
        <f>11200*1.1</f>
        <v>12320.000000000002</v>
      </c>
      <c r="E52" s="18">
        <f>11600*1.1</f>
        <v>12760.000000000002</v>
      </c>
      <c r="F52" s="18">
        <f>11800*1.1</f>
        <v>12980.000000000002</v>
      </c>
      <c r="G52" s="27"/>
      <c r="H52" s="28"/>
      <c r="I52" s="28"/>
      <c r="J52" s="28"/>
      <c r="K52" s="31"/>
    </row>
    <row r="53" spans="2:11" ht="12.75">
      <c r="B53" s="4" t="s">
        <v>66</v>
      </c>
      <c r="C53" s="6">
        <v>7.5</v>
      </c>
      <c r="D53" s="21">
        <f>13200*1.1</f>
        <v>14520.000000000002</v>
      </c>
      <c r="E53" s="18">
        <f>13500*1.1</f>
        <v>14850.000000000002</v>
      </c>
      <c r="F53" s="18">
        <f>13800*1.1</f>
        <v>15180.000000000002</v>
      </c>
      <c r="G53" s="29"/>
      <c r="H53" s="30"/>
      <c r="I53" s="30"/>
      <c r="J53" s="30"/>
      <c r="K53" s="31"/>
    </row>
    <row r="54" spans="2:11" ht="12.75">
      <c r="B54" s="4" t="s">
        <v>67</v>
      </c>
      <c r="C54" s="6" t="s">
        <v>74</v>
      </c>
      <c r="D54" s="21">
        <f>14300*1.1</f>
        <v>15730.000000000002</v>
      </c>
      <c r="E54" s="18">
        <f>14700*1.1</f>
        <v>16170.000000000002</v>
      </c>
      <c r="F54" s="18">
        <f>15000*1.1</f>
        <v>16500</v>
      </c>
      <c r="G54" s="36"/>
      <c r="H54" s="30"/>
      <c r="I54" s="30"/>
      <c r="J54" s="30"/>
      <c r="K54" s="31"/>
    </row>
    <row r="55" spans="2:11" ht="12.75">
      <c r="B55" s="4" t="s">
        <v>68</v>
      </c>
      <c r="C55" s="6" t="s">
        <v>44</v>
      </c>
      <c r="D55" s="21">
        <f>15700*1.1</f>
        <v>17270</v>
      </c>
      <c r="E55" s="18">
        <f>16200*1.1</f>
        <v>17820</v>
      </c>
      <c r="F55" s="18">
        <f>16500*1.1</f>
        <v>18150</v>
      </c>
      <c r="G55" s="29"/>
      <c r="H55" s="30"/>
      <c r="I55" s="30"/>
      <c r="J55" s="30"/>
      <c r="K55" s="31"/>
    </row>
    <row r="56" spans="2:11" ht="12.75">
      <c r="B56" s="4" t="s">
        <v>69</v>
      </c>
      <c r="C56" s="6" t="s">
        <v>44</v>
      </c>
      <c r="D56" s="21">
        <f>18500*1.1</f>
        <v>20350</v>
      </c>
      <c r="E56" s="18">
        <f>19100*1.1</f>
        <v>21010</v>
      </c>
      <c r="F56" s="18">
        <f>19500*1.1</f>
        <v>21450</v>
      </c>
      <c r="G56" s="29"/>
      <c r="H56" s="30"/>
      <c r="I56" s="30"/>
      <c r="J56" s="30"/>
      <c r="K56" s="31"/>
    </row>
    <row r="57" spans="2:11" ht="13.5" thickBot="1">
      <c r="B57" s="5" t="s">
        <v>70</v>
      </c>
      <c r="C57" s="25" t="s">
        <v>45</v>
      </c>
      <c r="D57" s="22">
        <f>22300*1.1</f>
        <v>24530.000000000004</v>
      </c>
      <c r="E57" s="23">
        <f>22900*1.1</f>
        <v>25190.000000000004</v>
      </c>
      <c r="F57" s="23">
        <f>23400*1.1</f>
        <v>25740.000000000004</v>
      </c>
      <c r="G57" s="32"/>
      <c r="H57" s="33"/>
      <c r="I57" s="33"/>
      <c r="J57" s="42" t="s">
        <v>5</v>
      </c>
      <c r="K57" s="43"/>
    </row>
    <row r="58" spans="2:11" ht="12.75"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2:11" ht="12.75"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2:11" ht="12.75"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2:11" ht="12.75"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2:11" ht="12.75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.75"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2:11" ht="12.75"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2:11" ht="12.75"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2:11" ht="12.75"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2:11" ht="12.75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12.75"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2:11" ht="12.75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ht="12.75"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2:11" ht="12.75"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2:11" ht="12.75"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2:11" ht="12.75"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2:11" ht="12.75"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2:11" ht="12.75"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2:11" ht="12.75"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2:11" ht="12.75"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2:11" ht="12.75"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2:11" ht="12.75"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2:11" ht="12.75"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2:11" ht="12.75"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2:11" ht="12.75"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2:11" ht="12.75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ht="12.75"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7:11" ht="12.75">
      <c r="G86" s="9"/>
      <c r="H86" s="9"/>
      <c r="I86" s="9"/>
      <c r="J86" s="9"/>
      <c r="K86" s="9"/>
    </row>
    <row r="106" ht="4.5" customHeight="1"/>
    <row r="107" ht="29.25" customHeight="1"/>
    <row r="108" ht="24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3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2.25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</sheetData>
  <sheetProtection password="CF7A" sheet="1" objects="1" scenarios="1"/>
  <mergeCells count="12">
    <mergeCell ref="B2:K2"/>
    <mergeCell ref="I4:K4"/>
    <mergeCell ref="G5:H5"/>
    <mergeCell ref="G19:H19"/>
    <mergeCell ref="B3:K3"/>
    <mergeCell ref="D4:F4"/>
    <mergeCell ref="B59:K60"/>
    <mergeCell ref="G34:H34"/>
    <mergeCell ref="G43:H43"/>
    <mergeCell ref="B5:C5"/>
    <mergeCell ref="B32:C32"/>
    <mergeCell ref="J57:K57"/>
  </mergeCells>
  <printOptions/>
  <pageMargins left="0.21" right="0.29" top="0.17" bottom="0.19" header="0.17" footer="0.18"/>
  <pageSetup horizontalDpi="600" verticalDpi="600" orientation="portrait" paperSize="9" scale="99" r:id="rId1"/>
  <rowBreaks count="1" manualBreakCount="1">
    <brk id="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Техпривод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2009-04-02T21:22:14Z</cp:lastPrinted>
  <dcterms:created xsi:type="dcterms:W3CDTF">2008-02-14T12:21:41Z</dcterms:created>
  <dcterms:modified xsi:type="dcterms:W3CDTF">2012-11-21T10:13:06Z</dcterms:modified>
  <cp:category/>
  <cp:version/>
  <cp:contentType/>
  <cp:contentStatus/>
</cp:coreProperties>
</file>